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50" activeTab="0"/>
  </bookViews>
  <sheets>
    <sheet name="สูตรการคำนวณของหน่วยงา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<sst xmlns="http://schemas.openxmlformats.org/spreadsheetml/2006/main" count="65" uniqueCount="53">
  <si>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มิติ</t>
  </si>
  <si>
    <t>ชื่อตัวชี้วัด</t>
  </si>
  <si>
    <t>หน่วยวัด</t>
  </si>
  <si>
    <t>น้ำหนัก (ร้อยละ)</t>
  </si>
  <si>
    <t>เป้าหมาย/เกณฑ์การให้คะแนน</t>
  </si>
  <si>
    <t>ผลการดำเนินการ</t>
  </si>
  <si>
    <t>หมายเหตุ</t>
  </si>
  <si>
    <t>ค่าคะแนน</t>
  </si>
  <si>
    <t>ที่ได้</t>
  </si>
  <si>
    <t>คะแนนถ่วงน้ำหนัก</t>
  </si>
  <si>
    <r>
      <t>มิติที่ 1</t>
    </r>
    <r>
      <rPr>
        <sz val="12"/>
        <color indexed="8"/>
        <rFont val="TH SarabunPSK"/>
        <family val="2"/>
      </rPr>
      <t xml:space="preserve"> ประสิทธิผลตามพันธกิจ</t>
    </r>
  </si>
  <si>
    <t>ร้อยละความสำเร็จของแผนปฏิบัติราชการประจำปีของหน่วยงาน</t>
  </si>
  <si>
    <t>ร้อยละ</t>
  </si>
  <si>
    <t>งบการเงิน</t>
  </si>
  <si>
    <t>คะแนน</t>
  </si>
  <si>
    <t xml:space="preserve">และถูกต้อง </t>
  </si>
  <si>
    <t>ระดับ</t>
  </si>
  <si>
    <t>รวม</t>
  </si>
  <si>
    <t>ผลต่างของช่วง</t>
  </si>
  <si>
    <t>เกณฑ์คะแนน</t>
  </si>
  <si>
    <t>ผลต่างของ</t>
  </si>
  <si>
    <t>ระดับคะแนน</t>
  </si>
  <si>
    <t>ผลจริง กับ</t>
  </si>
  <si>
    <t>เศษของ</t>
  </si>
  <si>
    <t>2.1 ร้อยละของความสำเร็จในการใช้จ่ายงบประมาณ</t>
  </si>
  <si>
    <t>2.1.1 ร้อยละของความสำเร็จของการก่อหนี้ผูกพัน</t>
  </si>
  <si>
    <t>2.1.2 ร้อยละของความสำเร็จของการเบิกจ่ายงบประมาณในภาพรวม</t>
  </si>
  <si>
    <t>3.2  ร้อยละความสำเร็จของการดำเนินโครงการ  ให้บริการที่ดีที่สุด  (Best  Service)</t>
  </si>
  <si>
    <t>3.3  ระดับความพึงพอใจของผู้รับบริการ</t>
  </si>
  <si>
    <r>
      <rPr>
        <b/>
        <sz val="12"/>
        <color indexed="8"/>
        <rFont val="TH SarabunPSK"/>
        <family val="2"/>
      </rPr>
      <t xml:space="preserve">มิติที่ 2 </t>
    </r>
    <r>
      <rPr>
        <sz val="12"/>
        <color indexed="8"/>
        <rFont val="TH SarabunPSK"/>
        <family val="2"/>
      </rPr>
      <t xml:space="preserve"> ประสิทธิภาพของการปฏิบัติราชการ</t>
    </r>
  </si>
  <si>
    <r>
      <rPr>
        <b/>
        <sz val="12"/>
        <color indexed="8"/>
        <rFont val="TH SarabunPSK"/>
        <family val="2"/>
      </rPr>
      <t>มิติที่ 3</t>
    </r>
    <r>
      <rPr>
        <sz val="12"/>
        <color indexed="8"/>
        <rFont val="TH SarabunPSK"/>
        <family val="2"/>
      </rPr>
      <t xml:space="preserve"> คุณภาพการปฏิบัติราชการ</t>
    </r>
  </si>
  <si>
    <t>2.2 คะแนนความ สำเร็จในการจัดทำ</t>
  </si>
  <si>
    <t>2.2.1   คะแนนความ สำเร็จของการจัดทำงบการเงินทันเวลา</t>
  </si>
  <si>
    <t>2.2.2 คะแนนความสำเร็จของการ</t>
  </si>
  <si>
    <t>2.1.3 ร้อยละของเงินกันไว้เหลื่อมปี</t>
  </si>
  <si>
    <t>ของหน่วยงาน....................................</t>
  </si>
  <si>
    <r>
      <t xml:space="preserve">จัดทำรายงานบัญชีมูลค่าทรัพย์สินประจำปี 2559 ทันเวลาและถูกต้อง   </t>
    </r>
    <r>
      <rPr>
        <b/>
        <sz val="12"/>
        <color indexed="8"/>
        <rFont val="TH SarabunPSK"/>
        <family val="2"/>
      </rPr>
      <t xml:space="preserve">   </t>
    </r>
  </si>
  <si>
    <t>2.3 ร้อยละความสำเร็จของการบริหารความเสี่ยงและการควบคุมภายใน</t>
  </si>
  <si>
    <t>มิติที่ 4  การพัฒนาองค์การ</t>
  </si>
  <si>
    <t>4.2 ร้อยละความสำเร็จของการพัฒนาสภาพแวดล้อมในการทำงาน (Quality of Work Life)</t>
  </si>
  <si>
    <t>4.2.1 ร้อยละความสำเร็จของการดำเนินการด้านความปลอดภัย อาชีวอนามัย และสภาพแวดล้อมในการทำงาน</t>
  </si>
  <si>
    <t>4.2.2 ร้อยละของบุคลากรได้รับการตรวจสุขภาพประจำปี</t>
  </si>
  <si>
    <t>ผลการประเมินผลการปฏิบัติราชการประจำปีงบประมาณ พ.ศ. 2561</t>
  </si>
  <si>
    <r>
      <rPr>
        <sz val="14"/>
        <color indexed="8"/>
        <rFont val="Times New Roman"/>
        <family val="1"/>
      </rPr>
      <t>≤</t>
    </r>
    <r>
      <rPr>
        <sz val="14"/>
        <color indexed="8"/>
        <rFont val="TH SarabunPSK"/>
        <family val="2"/>
      </rPr>
      <t>80</t>
    </r>
  </si>
  <si>
    <r>
      <rPr>
        <sz val="14"/>
        <color indexed="8"/>
        <rFont val="Times New Roman"/>
        <family val="1"/>
      </rPr>
      <t>≤</t>
    </r>
    <r>
      <rPr>
        <sz val="14"/>
        <color indexed="8"/>
        <rFont val="TH SarabunPSK"/>
        <family val="2"/>
      </rPr>
      <t>6</t>
    </r>
  </si>
  <si>
    <r>
      <t xml:space="preserve">หากผลการดำเนินการ       </t>
    </r>
    <r>
      <rPr>
        <sz val="12"/>
        <color indexed="8"/>
        <rFont val="Symbol"/>
        <family val="1"/>
      </rPr>
      <t>&lt;</t>
    </r>
    <r>
      <rPr>
        <sz val="12"/>
        <color indexed="8"/>
        <rFont val="TH SarabunPSK"/>
        <family val="2"/>
      </rPr>
      <t xml:space="preserve"> 80 จะได้คะแนน= 1 และคะแนนถ่วง น.น. = 0.250 </t>
    </r>
  </si>
  <si>
    <t xml:space="preserve">หากผลการดำเนินการ       &lt; 6 จะได้คะแนน= 1 และคะแนนถ่วง น.น. = 0.350 </t>
  </si>
  <si>
    <t>4.1 ร้อยละความสำเร็จของการตามมาตรการเสริมสร้างธรรมาภิบาลเพื่อพัฒนาภาพลักษณ์และประสิทธิภาพในการปฏิบัติงานของหน่วยงาน</t>
  </si>
  <si>
    <t>3.1  ระดับความสำเร็จในการแก้ไขเรื่องที่ได้รับแจ้งจากประชาชน/ผู้รับบริการ</t>
  </si>
  <si>
    <t>น้ำหนักคะแนนจะปรับลดกรณีไม่ได้คะแนนเต็ม และมีการหักคะแนนส่งช้า</t>
  </si>
  <si>
    <t>90  ขึ้นไป</t>
  </si>
  <si>
    <t>หมายเหตุ  ตัวชี้วัดที่ 3.2 หากหน่วยงานไม่ได้คะแนนเต็ม หรือมีการส่งช้าและถูกหักคะแนนส่งช้า คะแนนของน้ำหนักคะแนนจะถูกลดทอนลง ซึ่งไม่ได้ลงโปรแกรมคำนวณไว้</t>
  </si>
  <si>
    <t xml:space="preserve">         หน่วยงานต้องแก้ไขค่าน้ำหนักคะแนนเอง โยวิธีการคำนวณสามารถศึกษาได้จากคู่มือฯ หน้า ญ และ ฎ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</si>
</sst>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Symbol"/>
      <family val="1"/>
    </font>
    <font>
      <b/>
      <sz val="12"/>
      <color indexed="62"/>
      <name val="TH SarabunPSK"/>
      <family val="2"/>
    </font>
    <font>
      <sz val="14"/>
      <color indexed="62"/>
      <name val="TH SarabunPSK"/>
      <family val="2"/>
    </font>
    <font>
      <sz val="14"/>
      <name val="TH SarabunPSK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top" wrapText="1"/>
    </xf>
    <xf numFmtId="189" fontId="5" fillId="0" borderId="10" xfId="0" applyNumberFormat="1" applyFont="1" applyBorder="1" applyAlignment="1">
      <alignment horizontal="center" vertical="top" wrapText="1"/>
    </xf>
    <xf numFmtId="189" fontId="8" fillId="0" borderId="15" xfId="0" applyNumberFormat="1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horizontal="center" vertical="top" wrapText="1"/>
    </xf>
    <xf numFmtId="189" fontId="5" fillId="0" borderId="15" xfId="0" applyNumberFormat="1" applyFont="1" applyBorder="1" applyAlignment="1">
      <alignment horizontal="center" vertical="top" wrapText="1"/>
    </xf>
    <xf numFmtId="189" fontId="5" fillId="0" borderId="16" xfId="0" applyNumberFormat="1" applyFont="1" applyBorder="1" applyAlignment="1">
      <alignment horizontal="center" vertical="top" wrapText="1"/>
    </xf>
    <xf numFmtId="189" fontId="8" fillId="0" borderId="12" xfId="0" applyNumberFormat="1" applyFont="1" applyBorder="1" applyAlignment="1">
      <alignment horizontal="center" vertical="top" wrapText="1"/>
    </xf>
    <xf numFmtId="189" fontId="5" fillId="0" borderId="12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89" fontId="5" fillId="34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189" fontId="8" fillId="35" borderId="11" xfId="0" applyNumberFormat="1" applyFont="1" applyFill="1" applyBorder="1" applyAlignment="1">
      <alignment horizontal="center" vertical="top" wrapText="1"/>
    </xf>
    <xf numFmtId="189" fontId="9" fillId="35" borderId="11" xfId="0" applyNumberFormat="1" applyFont="1" applyFill="1" applyBorder="1" applyAlignment="1">
      <alignment horizontal="center" vertical="top" wrapText="1"/>
    </xf>
    <xf numFmtId="189" fontId="5" fillId="35" borderId="11" xfId="0" applyNumberFormat="1" applyFont="1" applyFill="1" applyBorder="1" applyAlignment="1">
      <alignment horizontal="center" vertical="top" wrapText="1"/>
    </xf>
    <xf numFmtId="189" fontId="8" fillId="35" borderId="10" xfId="0" applyNumberFormat="1" applyFont="1" applyFill="1" applyBorder="1" applyAlignment="1">
      <alignment horizontal="center" vertical="top" wrapText="1"/>
    </xf>
    <xf numFmtId="189" fontId="5" fillId="35" borderId="10" xfId="0" applyNumberFormat="1" applyFont="1" applyFill="1" applyBorder="1" applyAlignment="1">
      <alignment horizontal="center" vertical="top" wrapText="1"/>
    </xf>
    <xf numFmtId="189" fontId="8" fillId="35" borderId="12" xfId="0" applyNumberFormat="1" applyFont="1" applyFill="1" applyBorder="1" applyAlignment="1">
      <alignment horizontal="center" vertical="top" wrapText="1"/>
    </xf>
    <xf numFmtId="189" fontId="5" fillId="35" borderId="12" xfId="0" applyNumberFormat="1" applyFont="1" applyFill="1" applyBorder="1" applyAlignment="1">
      <alignment horizontal="center" vertical="top" wrapText="1"/>
    </xf>
    <xf numFmtId="189" fontId="8" fillId="35" borderId="15" xfId="0" applyNumberFormat="1" applyFont="1" applyFill="1" applyBorder="1" applyAlignment="1">
      <alignment horizontal="center" vertical="top" wrapText="1"/>
    </xf>
    <xf numFmtId="189" fontId="8" fillId="35" borderId="16" xfId="0" applyNumberFormat="1" applyFont="1" applyFill="1" applyBorder="1" applyAlignment="1">
      <alignment horizontal="center" vertical="top" wrapText="1"/>
    </xf>
    <xf numFmtId="189" fontId="5" fillId="35" borderId="15" xfId="0" applyNumberFormat="1" applyFont="1" applyFill="1" applyBorder="1" applyAlignment="1">
      <alignment horizontal="center" vertical="top" wrapText="1"/>
    </xf>
    <xf numFmtId="189" fontId="5" fillId="35" borderId="16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9" fontId="8" fillId="0" borderId="17" xfId="0" applyNumberFormat="1" applyFont="1" applyBorder="1" applyAlignment="1">
      <alignment horizontal="center" vertical="top" wrapText="1"/>
    </xf>
    <xf numFmtId="189" fontId="8" fillId="0" borderId="18" xfId="0" applyNumberFormat="1" applyFont="1" applyBorder="1" applyAlignment="1">
      <alignment horizontal="center" vertical="top" wrapText="1"/>
    </xf>
    <xf numFmtId="189" fontId="5" fillId="0" borderId="17" xfId="0" applyNumberFormat="1" applyFont="1" applyBorder="1" applyAlignment="1">
      <alignment horizontal="center" vertical="top" wrapText="1"/>
    </xf>
    <xf numFmtId="189" fontId="5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189" fontId="8" fillId="35" borderId="14" xfId="0" applyNumberFormat="1" applyFont="1" applyFill="1" applyBorder="1" applyAlignment="1">
      <alignment horizontal="center" vertical="top" wrapText="1"/>
    </xf>
    <xf numFmtId="189" fontId="8" fillId="35" borderId="19" xfId="0" applyNumberFormat="1" applyFont="1" applyFill="1" applyBorder="1" applyAlignment="1">
      <alignment horizontal="center" vertical="top" wrapText="1"/>
    </xf>
    <xf numFmtId="189" fontId="5" fillId="35" borderId="14" xfId="0" applyNumberFormat="1" applyFont="1" applyFill="1" applyBorder="1" applyAlignment="1">
      <alignment horizontal="center" vertical="top" wrapText="1"/>
    </xf>
    <xf numFmtId="189" fontId="5" fillId="35" borderId="19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vertical="top" wrapText="1"/>
    </xf>
    <xf numFmtId="0" fontId="4" fillId="35" borderId="21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189" fontId="5" fillId="37" borderId="11" xfId="0" applyNumberFormat="1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horizontal="center" vertical="top" wrapText="1"/>
    </xf>
    <xf numFmtId="189" fontId="8" fillId="37" borderId="22" xfId="0" applyNumberFormat="1" applyFont="1" applyFill="1" applyBorder="1" applyAlignment="1">
      <alignment horizontal="center" vertical="top" wrapText="1"/>
    </xf>
    <xf numFmtId="189" fontId="8" fillId="37" borderId="23" xfId="0" applyNumberFormat="1" applyFont="1" applyFill="1" applyBorder="1" applyAlignment="1">
      <alignment horizontal="center" vertical="top" wrapText="1"/>
    </xf>
    <xf numFmtId="189" fontId="5" fillId="37" borderId="22" xfId="0" applyNumberFormat="1" applyFont="1" applyFill="1" applyBorder="1" applyAlignment="1">
      <alignment horizontal="center" vertical="top" wrapText="1"/>
    </xf>
    <xf numFmtId="189" fontId="5" fillId="37" borderId="23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89" fontId="5" fillId="34" borderId="12" xfId="0" applyNumberFormat="1" applyFont="1" applyFill="1" applyBorder="1" applyAlignment="1">
      <alignment horizontal="center" vertical="top" wrapText="1"/>
    </xf>
    <xf numFmtId="189" fontId="5" fillId="34" borderId="13" xfId="0" applyNumberFormat="1" applyFont="1" applyFill="1" applyBorder="1" applyAlignment="1">
      <alignment horizontal="center" vertical="top" wrapText="1"/>
    </xf>
    <xf numFmtId="189" fontId="5" fillId="34" borderId="14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abSelected="1" zoomScale="80" zoomScaleNormal="80" zoomScalePageLayoutView="0" workbookViewId="0" topLeftCell="B1">
      <selection activeCell="D31" sqref="D31"/>
    </sheetView>
  </sheetViews>
  <sheetFormatPr defaultColWidth="9.140625" defaultRowHeight="15"/>
  <sheetData>
    <row r="1" spans="1:17" ht="14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4.25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ht="15" thickBot="1"/>
    <row r="4" spans="1:17" ht="19.5" thickBot="1">
      <c r="A4" s="105" t="s">
        <v>0</v>
      </c>
      <c r="B4" s="105" t="s">
        <v>1</v>
      </c>
      <c r="C4" s="105" t="s">
        <v>2</v>
      </c>
      <c r="D4" s="105" t="s">
        <v>3</v>
      </c>
      <c r="E4" s="102" t="s">
        <v>4</v>
      </c>
      <c r="F4" s="103"/>
      <c r="G4" s="103"/>
      <c r="H4" s="103"/>
      <c r="I4" s="104"/>
      <c r="J4" s="99" t="s">
        <v>5</v>
      </c>
      <c r="K4" s="100"/>
      <c r="L4" s="100"/>
      <c r="M4" s="100"/>
      <c r="N4" s="100"/>
      <c r="O4" s="100"/>
      <c r="P4" s="101"/>
      <c r="Q4" s="105" t="s">
        <v>6</v>
      </c>
    </row>
    <row r="5" spans="1:17" ht="19.5" customHeight="1">
      <c r="A5" s="106"/>
      <c r="B5" s="106"/>
      <c r="C5" s="106"/>
      <c r="D5" s="106"/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3" t="s">
        <v>5</v>
      </c>
      <c r="K5" s="13" t="s">
        <v>18</v>
      </c>
      <c r="L5" s="13" t="s">
        <v>20</v>
      </c>
      <c r="M5" s="13" t="s">
        <v>20</v>
      </c>
      <c r="N5" s="13" t="s">
        <v>23</v>
      </c>
      <c r="O5" s="1" t="s">
        <v>7</v>
      </c>
      <c r="P5" s="96" t="s">
        <v>9</v>
      </c>
      <c r="Q5" s="106"/>
    </row>
    <row r="6" spans="1:17" ht="19.5" customHeight="1">
      <c r="A6" s="106"/>
      <c r="B6" s="106"/>
      <c r="C6" s="106"/>
      <c r="D6" s="106"/>
      <c r="E6" s="91"/>
      <c r="F6" s="91"/>
      <c r="G6" s="91"/>
      <c r="H6" s="91"/>
      <c r="I6" s="91"/>
      <c r="J6" s="94"/>
      <c r="K6" s="13" t="s">
        <v>19</v>
      </c>
      <c r="L6" s="13" t="s">
        <v>21</v>
      </c>
      <c r="M6" s="13" t="s">
        <v>22</v>
      </c>
      <c r="N6" s="13" t="s">
        <v>14</v>
      </c>
      <c r="O6" s="1" t="s">
        <v>8</v>
      </c>
      <c r="P6" s="97"/>
      <c r="Q6" s="106"/>
    </row>
    <row r="7" spans="1:17" ht="16.5" thickBot="1">
      <c r="A7" s="107"/>
      <c r="B7" s="107"/>
      <c r="C7" s="107"/>
      <c r="D7" s="107"/>
      <c r="E7" s="92"/>
      <c r="F7" s="92"/>
      <c r="G7" s="92"/>
      <c r="H7" s="92"/>
      <c r="I7" s="92"/>
      <c r="J7" s="95"/>
      <c r="K7" s="14"/>
      <c r="L7" s="14"/>
      <c r="M7" s="14" t="s">
        <v>19</v>
      </c>
      <c r="N7" s="14"/>
      <c r="O7" s="2"/>
      <c r="P7" s="98"/>
      <c r="Q7" s="107"/>
    </row>
    <row r="8" spans="1:17" ht="111" thickBot="1">
      <c r="A8" s="33" t="s">
        <v>10</v>
      </c>
      <c r="B8" s="34" t="s">
        <v>11</v>
      </c>
      <c r="C8" s="35" t="s">
        <v>12</v>
      </c>
      <c r="D8" s="36">
        <v>45</v>
      </c>
      <c r="E8" s="36">
        <v>20</v>
      </c>
      <c r="F8" s="36">
        <v>40</v>
      </c>
      <c r="G8" s="36">
        <v>60</v>
      </c>
      <c r="H8" s="36">
        <v>80</v>
      </c>
      <c r="I8" s="36">
        <v>100</v>
      </c>
      <c r="J8" s="29">
        <v>97.466</v>
      </c>
      <c r="K8" s="37">
        <v>20</v>
      </c>
      <c r="L8" s="37">
        <v>1</v>
      </c>
      <c r="M8" s="37">
        <f>IF(AND(J8&gt;=80,J8&lt;=99.999),(J8-80),IF(AND(J8&gt;=60,J8&lt;=79.999),(J8-60),IF(AND(J8&gt;=40,J8&lt;=59.999),(J8-40),IF(AND(J8&gt;=20,J8&lt;=39.999),(J8-20),IF(J8&gt;=100,0)))))</f>
        <v>17.465999999999994</v>
      </c>
      <c r="N8" s="38">
        <f>(M8*L8)/K8</f>
        <v>0.8732999999999997</v>
      </c>
      <c r="O8" s="39">
        <f>IF(AND(J8&gt;=80,J8&lt;=99.999),(N8+4),IF(AND(J8&gt;=60,J8&lt;=79.999),(N8+3),IF(AND(J8&gt;=40,J8&lt;=59.999),(N8+2),IF(AND(J8&gt;=20,J8&lt;=39.999),(N8+1),IF(J8&gt;=100,5)))))</f>
        <v>4.8732999999999995</v>
      </c>
      <c r="P8" s="40">
        <f>(D8/100)*O8</f>
        <v>2.1929849999999997</v>
      </c>
      <c r="Q8" s="5"/>
    </row>
    <row r="9" spans="1:17" ht="78.75">
      <c r="A9" s="32" t="s">
        <v>29</v>
      </c>
      <c r="B9" s="8" t="s">
        <v>24</v>
      </c>
      <c r="C9" s="9" t="s">
        <v>12</v>
      </c>
      <c r="D9" s="10">
        <v>14</v>
      </c>
      <c r="E9" s="10"/>
      <c r="F9" s="10"/>
      <c r="G9" s="10"/>
      <c r="H9" s="10"/>
      <c r="I9" s="10"/>
      <c r="J9" s="30"/>
      <c r="K9" s="18"/>
      <c r="L9" s="18"/>
      <c r="M9" s="18"/>
      <c r="N9" s="18"/>
      <c r="O9" s="10"/>
      <c r="P9" s="10"/>
      <c r="Q9" s="10"/>
    </row>
    <row r="10" spans="1:17" ht="78.75">
      <c r="A10" s="6"/>
      <c r="B10" s="8" t="s">
        <v>25</v>
      </c>
      <c r="C10" s="9"/>
      <c r="D10" s="10">
        <v>5</v>
      </c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30">
        <v>4.085</v>
      </c>
      <c r="K10" s="18">
        <v>1</v>
      </c>
      <c r="L10" s="18">
        <v>1</v>
      </c>
      <c r="M10" s="21">
        <f>IF(AND(J10&gt;=1,J10&lt;=1.999),(J10-1),IF(AND(J10&gt;=2,J10&lt;=2.999),(J10-2),IF(AND(J10&gt;=3,J10&lt;=3.999),(J10-3),IF(AND(J10&gt;=4,J10&lt;=4.999),(J10-4),IF(J10&gt;=5,0)))))</f>
        <v>0.08499999999999996</v>
      </c>
      <c r="N10" s="21">
        <f>(M10*L10)/K10</f>
        <v>0.08499999999999996</v>
      </c>
      <c r="O10" s="28">
        <f>IF(AND(J10&gt;=1,J10&lt;=1.999),(N10+1),IF(AND(J10&gt;=2,J10&lt;=2.999),(N10+2),IF(AND(J10&gt;=3,J10&lt;=3.999),(N10+3),IF(AND(J10&gt;=4,J10&lt;=4.999),(N10+4),IF(J10&gt;=5,5)))))</f>
        <v>4.085</v>
      </c>
      <c r="P10" s="22">
        <f>(D10/100)*O10</f>
        <v>0.20425000000000001</v>
      </c>
      <c r="Q10" s="10"/>
    </row>
    <row r="11" spans="1:17" ht="110.25">
      <c r="A11" s="6"/>
      <c r="B11" s="51" t="s">
        <v>26</v>
      </c>
      <c r="C11" s="52"/>
      <c r="D11" s="53">
        <v>7</v>
      </c>
      <c r="E11" s="53">
        <v>1.4</v>
      </c>
      <c r="F11" s="53">
        <v>2.8</v>
      </c>
      <c r="G11" s="53">
        <v>4.2</v>
      </c>
      <c r="H11" s="53">
        <v>5.6</v>
      </c>
      <c r="I11" s="53">
        <v>7</v>
      </c>
      <c r="J11" s="54">
        <v>6.875</v>
      </c>
      <c r="K11" s="55">
        <v>1.4</v>
      </c>
      <c r="L11" s="55">
        <v>1</v>
      </c>
      <c r="M11" s="56">
        <f>IF(AND(J11&gt;=1.4,J11&lt;=2.799),(J11-1.4),IF(AND(J11&gt;=2.8,J11&lt;=4.199),(J11-2.8),IF(AND(J11&gt;=4.2,J11&lt;=5.599),(J11-4.2),IF(AND(J11&gt;=5.6,J11&lt;=6.999),(J11-5.6),IF(J11&gt;=7,0)))))</f>
        <v>1.2750000000000004</v>
      </c>
      <c r="N11" s="57">
        <f>(M11*L11)/K11</f>
        <v>0.910714285714286</v>
      </c>
      <c r="O11" s="58">
        <f>IF(AND(J11&gt;=1.4,J11&lt;=2.799),(N11+1),IF(AND(J11&gt;=2.8,J11&lt;=4.199),(N11+2),IF(AND(J11&gt;=4.2,J11&lt;=5.599),(N11+3),IF(AND(J11&gt;=5.6,J11&lt;=6.999),(N11+4),IF(J11&gt;=7,5)))))</f>
        <v>4.9107142857142865</v>
      </c>
      <c r="P11" s="59">
        <f>(D11/100)*O11</f>
        <v>0.3437500000000001</v>
      </c>
      <c r="Q11" s="53"/>
    </row>
    <row r="12" spans="1:17" ht="48" thickBot="1">
      <c r="A12" s="6"/>
      <c r="B12" s="50" t="s">
        <v>34</v>
      </c>
      <c r="C12" s="9"/>
      <c r="D12" s="10">
        <v>2</v>
      </c>
      <c r="E12" s="10">
        <v>0.4</v>
      </c>
      <c r="F12" s="10">
        <v>0.8</v>
      </c>
      <c r="G12" s="10">
        <v>1.2</v>
      </c>
      <c r="H12" s="10">
        <v>1.6</v>
      </c>
      <c r="I12" s="10">
        <v>2</v>
      </c>
      <c r="J12" s="30">
        <v>1.755</v>
      </c>
      <c r="K12" s="18">
        <v>0.4</v>
      </c>
      <c r="L12" s="18">
        <v>1</v>
      </c>
      <c r="M12" s="56">
        <f>IF(AND(J12&gt;=0.4,J12&lt;=0.799),(J12-0.4),IF(AND(J12&gt;=0.8,J12&lt;=1.199),(J12-0.8),IF(AND(J12&gt;=1.2,J12&lt;=1.599),(J12-1.2),IF(AND(J12&gt;=1.6,J12&lt;=1.999),(J12-1.6),IF(J12&gt;=2,0)))))</f>
        <v>0.1549999999999998</v>
      </c>
      <c r="N12" s="57">
        <f>(M12*L12)/K12</f>
        <v>0.3874999999999995</v>
      </c>
      <c r="O12" s="58">
        <f>IF(AND(J12&gt;=0.4,J12&lt;=0.799),(N12+1),IF(AND(J12&gt;=0.8,J12&lt;=1.199),(N12+2),IF(AND(J12&gt;=1.2,J12&lt;=1.599),(N12+3),IF(AND(J12&gt;=1.6,J12&lt;=1.999),(N12+4),IF(J12&gt;=2,5)))))</f>
        <v>4.387499999999999</v>
      </c>
      <c r="P12" s="59">
        <f>(D12/100)*O12</f>
        <v>0.08774999999999998</v>
      </c>
      <c r="Q12" s="10"/>
    </row>
    <row r="13" spans="1:17" ht="47.25">
      <c r="A13" s="6"/>
      <c r="B13" s="8" t="s">
        <v>31</v>
      </c>
      <c r="C13" s="110" t="s">
        <v>14</v>
      </c>
      <c r="D13" s="88">
        <v>6</v>
      </c>
      <c r="E13" s="88"/>
      <c r="F13" s="88"/>
      <c r="G13" s="88"/>
      <c r="H13" s="88"/>
      <c r="I13" s="88"/>
      <c r="J13" s="86"/>
      <c r="K13" s="16"/>
      <c r="L13" s="16"/>
      <c r="M13" s="16"/>
      <c r="N13" s="16"/>
      <c r="O13" s="88"/>
      <c r="P13" s="88"/>
      <c r="Q13" s="88"/>
    </row>
    <row r="14" spans="1:17" ht="15.75" customHeight="1">
      <c r="A14" s="6"/>
      <c r="B14" s="8" t="s">
        <v>13</v>
      </c>
      <c r="C14" s="111"/>
      <c r="D14" s="89"/>
      <c r="E14" s="89"/>
      <c r="F14" s="89"/>
      <c r="G14" s="89"/>
      <c r="H14" s="89"/>
      <c r="I14" s="89"/>
      <c r="J14" s="87"/>
      <c r="K14" s="19"/>
      <c r="L14" s="19"/>
      <c r="M14" s="19"/>
      <c r="N14" s="19"/>
      <c r="O14" s="89"/>
      <c r="P14" s="89"/>
      <c r="Q14" s="89"/>
    </row>
    <row r="15" spans="1:17" ht="78.75">
      <c r="A15" s="6"/>
      <c r="B15" s="8" t="s">
        <v>32</v>
      </c>
      <c r="C15" s="89"/>
      <c r="D15" s="89">
        <v>3</v>
      </c>
      <c r="E15" s="89">
        <v>1</v>
      </c>
      <c r="F15" s="89">
        <v>2</v>
      </c>
      <c r="G15" s="89">
        <v>3</v>
      </c>
      <c r="H15" s="89">
        <v>4</v>
      </c>
      <c r="I15" s="89">
        <v>5</v>
      </c>
      <c r="J15" s="112">
        <v>5</v>
      </c>
      <c r="K15" s="19">
        <v>1</v>
      </c>
      <c r="L15" s="19">
        <v>1</v>
      </c>
      <c r="M15" s="27">
        <f>IF(AND(J15&gt;=1,J15&lt;=1.999),(J15-1),IF(AND(J15&gt;=2,J15&lt;=2.999),(J15-2),IF(AND(J15&gt;=3,J15&lt;=3.999),(J15-3),IF(AND(J15&gt;=4,J15&lt;=4.999),(J15-4),IF(J15&gt;=5,0)))))</f>
        <v>0</v>
      </c>
      <c r="N15" s="21">
        <f>(M15*L15)/K15</f>
        <v>0</v>
      </c>
      <c r="O15" s="28">
        <f>IF(AND(J15&gt;=1,J15&lt;=1.999),(N15+1),IF(AND(J15&gt;=2,J15&lt;=2.999),(N15+2),IF(AND(J15&gt;=3,J15&lt;=3.999),(N15+3),IF(AND(J15&gt;=4,J15&lt;=4.999),(N15+4),IF(J15&gt;=5,5)))))</f>
        <v>5</v>
      </c>
      <c r="P15" s="22">
        <f>(D15/100)*O15</f>
        <v>0.15</v>
      </c>
      <c r="Q15" s="89"/>
    </row>
    <row r="16" spans="1:17" ht="16.5" customHeight="1" thickBot="1">
      <c r="A16" s="6"/>
      <c r="B16" s="3" t="s">
        <v>15</v>
      </c>
      <c r="C16" s="109"/>
      <c r="D16" s="109"/>
      <c r="E16" s="109"/>
      <c r="F16" s="109"/>
      <c r="G16" s="109"/>
      <c r="H16" s="109"/>
      <c r="I16" s="109"/>
      <c r="J16" s="113"/>
      <c r="K16" s="17"/>
      <c r="L16" s="17"/>
      <c r="M16" s="17"/>
      <c r="N16" s="17"/>
      <c r="O16" s="20"/>
      <c r="P16" s="20"/>
      <c r="Q16" s="109"/>
    </row>
    <row r="17" spans="1:17" ht="47.25">
      <c r="A17" s="6"/>
      <c r="B17" s="8" t="s">
        <v>33</v>
      </c>
      <c r="C17" s="88"/>
      <c r="D17" s="88">
        <v>3</v>
      </c>
      <c r="E17" s="88">
        <v>1</v>
      </c>
      <c r="F17" s="88">
        <v>2</v>
      </c>
      <c r="G17" s="88">
        <v>3</v>
      </c>
      <c r="H17" s="88">
        <v>4</v>
      </c>
      <c r="I17" s="88">
        <v>5</v>
      </c>
      <c r="J17" s="114">
        <v>5</v>
      </c>
      <c r="K17" s="16">
        <v>1</v>
      </c>
      <c r="L17" s="16">
        <v>1</v>
      </c>
      <c r="M17" s="27">
        <f>IF(AND(J17&gt;=1,J17&lt;=1.999),(J17-1),IF(AND(J17&gt;=2,J17&lt;=2.999),(J17-2),IF(AND(J17&gt;=3,J17&lt;=3.999),(J17-3),IF(AND(J17&gt;=4,J17&lt;=4.999),(J17-4),IF(J17&gt;=5,0)))))</f>
        <v>0</v>
      </c>
      <c r="N17" s="21">
        <f>(M17*L17)/K17</f>
        <v>0</v>
      </c>
      <c r="O17" s="28">
        <f>IF(AND(J17&gt;=1,J17&lt;=1.999),(N17+1),IF(AND(J17&gt;=2,J17&lt;=2.999),(N17+2),IF(AND(J17&gt;=3,J17&lt;=3.999),(N17+3),IF(AND(J17&gt;=4,J17&lt;=4.999),(N17+4),IF(J17&gt;=5,5)))))</f>
        <v>5</v>
      </c>
      <c r="P17" s="22">
        <f>(D17/100)*O17</f>
        <v>0.15</v>
      </c>
      <c r="Q17" s="88"/>
    </row>
    <row r="18" spans="1:17" ht="111" thickBot="1">
      <c r="A18" s="6"/>
      <c r="B18" s="3" t="s">
        <v>36</v>
      </c>
      <c r="C18" s="109"/>
      <c r="D18" s="109"/>
      <c r="E18" s="109"/>
      <c r="F18" s="109"/>
      <c r="G18" s="109"/>
      <c r="H18" s="109"/>
      <c r="I18" s="109"/>
      <c r="J18" s="113"/>
      <c r="K18" s="17"/>
      <c r="L18" s="17"/>
      <c r="M18" s="17"/>
      <c r="N18" s="17"/>
      <c r="O18" s="20"/>
      <c r="P18" s="20"/>
      <c r="Q18" s="109"/>
    </row>
    <row r="19" spans="1:17" ht="111" thickBot="1">
      <c r="A19" s="7"/>
      <c r="B19" s="34" t="s">
        <v>37</v>
      </c>
      <c r="C19" s="35" t="s">
        <v>16</v>
      </c>
      <c r="D19" s="36">
        <v>5</v>
      </c>
      <c r="E19" s="36" t="s">
        <v>43</v>
      </c>
      <c r="F19" s="36">
        <v>85</v>
      </c>
      <c r="G19" s="36">
        <v>90</v>
      </c>
      <c r="H19" s="36">
        <v>95</v>
      </c>
      <c r="I19" s="36">
        <v>100</v>
      </c>
      <c r="J19" s="31">
        <v>98</v>
      </c>
      <c r="K19" s="37">
        <v>5</v>
      </c>
      <c r="L19" s="37">
        <v>1</v>
      </c>
      <c r="M19" s="43">
        <f>IF(AND(J19&gt;=80,J19&lt;=84.999),(J19-80),IF(AND(J19&gt;=85,J19&lt;=89.999),(J19-85),IF(AND(J19&gt;=90,J19&lt;=94.999),(J19-90),IF(AND(J19&gt;=95,J19&lt;=99.999),(J19-95),IF(J19&gt;=100,0)))))</f>
        <v>3</v>
      </c>
      <c r="N19" s="41">
        <f aca="true" t="shared" si="0" ref="N19:N26">(M19*L19)/K19</f>
        <v>0.6</v>
      </c>
      <c r="O19" s="44">
        <f>IF(AND(J19&gt;=80,J19&lt;=84.999),(N19+1),IF(AND(J19&gt;=85,J19&lt;=89.999),(N19+2),IF(AND(J19&gt;=90,J19&lt;=94.999),(N19+3),IF(AND(J19&gt;=95,J19&lt;=99.999),(N19+4),IF(J19&gt;=100,5)))))</f>
        <v>4.6</v>
      </c>
      <c r="P19" s="42">
        <f aca="true" t="shared" si="1" ref="P19:P26">(D19/100)*O19</f>
        <v>0.22999999999999998</v>
      </c>
      <c r="Q19" s="4" t="s">
        <v>45</v>
      </c>
    </row>
    <row r="20" spans="1:17" ht="111" thickBot="1">
      <c r="A20" s="32" t="s">
        <v>30</v>
      </c>
      <c r="B20" s="3" t="s">
        <v>48</v>
      </c>
      <c r="C20" s="4" t="s">
        <v>16</v>
      </c>
      <c r="D20" s="5">
        <v>7</v>
      </c>
      <c r="E20" s="76" t="s">
        <v>44</v>
      </c>
      <c r="F20" s="5">
        <v>6.25</v>
      </c>
      <c r="G20" s="5">
        <v>6.5</v>
      </c>
      <c r="H20" s="5">
        <v>6.75</v>
      </c>
      <c r="I20" s="5">
        <v>7</v>
      </c>
      <c r="J20" s="31">
        <v>6.8</v>
      </c>
      <c r="K20" s="15">
        <v>0.25</v>
      </c>
      <c r="L20" s="15">
        <v>1</v>
      </c>
      <c r="M20" s="23">
        <f>IF(AND(J20&gt;=6,J20&lt;=6.249),(J20-6),IF(AND(J20&gt;=6.25,J20&lt;=6.499),(J20-6.25),IF(AND(J20&gt;=6.5,J20&lt;=6.749),(J20-6.5),IF(AND(J20&gt;=6.75,J20&lt;=6.999),(J20-6.75),IF(J20&gt;=7,0)))))</f>
        <v>0.04999999999999982</v>
      </c>
      <c r="N20" s="24">
        <f>(M20*L20)/K20</f>
        <v>0.1999999999999993</v>
      </c>
      <c r="O20" s="25">
        <f>IF(AND(J20&gt;=6,J20&lt;=6.249),(N20+1),IF(AND(J20&gt;=6.25,J20&lt;=6.499),(N20+2),IF(AND(J20&gt;=6.5,J20&lt;=6.749),(N20+3),IF(AND(J20&gt;=6.75,J20&lt;=6.999),(N20+4),IF(J20&gt;=7,5)))))</f>
        <v>4.199999999999999</v>
      </c>
      <c r="P20" s="26">
        <f>(D20/100)*O20</f>
        <v>0.294</v>
      </c>
      <c r="Q20" s="4" t="s">
        <v>46</v>
      </c>
    </row>
    <row r="21" spans="1:17" ht="111" thickBot="1">
      <c r="A21" s="6"/>
      <c r="B21" s="34" t="s">
        <v>27</v>
      </c>
      <c r="C21" s="35" t="s">
        <v>12</v>
      </c>
      <c r="D21" s="36">
        <v>6.202</v>
      </c>
      <c r="E21" s="36">
        <v>90</v>
      </c>
      <c r="F21" s="36">
        <v>95</v>
      </c>
      <c r="G21" s="36">
        <v>100</v>
      </c>
      <c r="H21" s="36">
        <v>105</v>
      </c>
      <c r="I21" s="36">
        <v>110</v>
      </c>
      <c r="J21" s="29">
        <v>99.021</v>
      </c>
      <c r="K21" s="37">
        <v>5</v>
      </c>
      <c r="L21" s="37">
        <v>1</v>
      </c>
      <c r="M21" s="45">
        <f>IF(AND(J21&gt;=90,J21&lt;=94.999),(J21-90),IF(AND(J21&gt;=95,J21&lt;=99.999),(J21-95),IF(AND(J21&gt;=100,J21&lt;=104.999),(J21-100),IF(AND(J21&gt;=105,J21&lt;=109.999),(J21-105),IF(J21&gt;=110,0)))))</f>
        <v>4.021000000000001</v>
      </c>
      <c r="N21" s="46">
        <f>(M21*L21)/K21</f>
        <v>0.8042000000000001</v>
      </c>
      <c r="O21" s="47">
        <f>IF(AND(J21&gt;=90,J21&lt;=94.999),(N21+1),IF(AND(J21&gt;=95,J21&lt;=99.999),(N21+2),IF(AND(J21&gt;=100,J21&lt;=104.999),(N21+3),IF(AND(J21&gt;=105,J21&lt;=109.999),(N21+4),IF(J21&gt;=110,5)))))</f>
        <v>2.8042000000000002</v>
      </c>
      <c r="P21" s="48">
        <f>(D21/100)*O21</f>
        <v>0.173916484</v>
      </c>
      <c r="Q21" s="4" t="s">
        <v>49</v>
      </c>
    </row>
    <row r="22" spans="1:17" ht="48" thickBot="1">
      <c r="A22" s="12"/>
      <c r="B22" s="3" t="s">
        <v>28</v>
      </c>
      <c r="C22" s="4" t="s">
        <v>16</v>
      </c>
      <c r="D22" s="5">
        <v>6</v>
      </c>
      <c r="E22" s="5">
        <v>1</v>
      </c>
      <c r="F22" s="5">
        <v>2</v>
      </c>
      <c r="G22" s="5">
        <v>3</v>
      </c>
      <c r="H22" s="5">
        <v>4</v>
      </c>
      <c r="I22" s="5">
        <v>5</v>
      </c>
      <c r="J22" s="29">
        <v>3.887</v>
      </c>
      <c r="K22" s="15">
        <v>1</v>
      </c>
      <c r="L22" s="15">
        <v>1</v>
      </c>
      <c r="M22" s="23">
        <f>IF(AND(J22&gt;=1,J22&lt;=1.999),(J22-1),IF(AND(J22&gt;=2,J22&lt;=2.999),(J22-2),IF(AND(J22&gt;=3,J22&lt;=3.999),(J22-3),IF(AND(J22&gt;=4,J22&lt;=4.999),(J22-4),IF(J22&gt;=5,0)))))</f>
        <v>0.887</v>
      </c>
      <c r="N22" s="24">
        <f t="shared" si="0"/>
        <v>0.887</v>
      </c>
      <c r="O22" s="25">
        <f>IF(AND(J22&gt;=1,J22&lt;=1.999),(N22+1),IF(AND(J22&gt;=2,J22&lt;=2.999),(N22+2),IF(AND(J22&gt;=3,J22&lt;=3.999),(N22+3),IF(AND(J22&gt;=4,J22&lt;=4.999),(N22+4),IF(J22&gt;=5,5)))))</f>
        <v>3.887</v>
      </c>
      <c r="P22" s="26">
        <f t="shared" si="1"/>
        <v>0.23321999999999998</v>
      </c>
      <c r="Q22" s="5"/>
    </row>
    <row r="23" spans="1:17" ht="205.5" thickBot="1">
      <c r="A23" s="60" t="s">
        <v>38</v>
      </c>
      <c r="B23" s="34" t="s">
        <v>47</v>
      </c>
      <c r="C23" s="35" t="s">
        <v>16</v>
      </c>
      <c r="D23" s="36">
        <v>5</v>
      </c>
      <c r="E23" s="36">
        <v>60</v>
      </c>
      <c r="F23" s="36">
        <v>70</v>
      </c>
      <c r="G23" s="36">
        <v>80</v>
      </c>
      <c r="H23" s="36">
        <v>90</v>
      </c>
      <c r="I23" s="36">
        <v>100</v>
      </c>
      <c r="J23" s="29">
        <v>100</v>
      </c>
      <c r="K23" s="37">
        <v>10</v>
      </c>
      <c r="L23" s="37">
        <v>1</v>
      </c>
      <c r="M23" s="45">
        <f>IF(AND(J23&gt;=60,J23&lt;=69.999),(J23-60),IF(AND(J23&gt;=70,J23&lt;=79.999),(J23-70),IF(AND(J23&gt;=80,J23&lt;=89.999),(J23-80),IF(AND(J23&gt;=90,J23&lt;=99.999),(J23-90),IF(J23&gt;=100,0)))))</f>
        <v>0</v>
      </c>
      <c r="N23" s="46">
        <f t="shared" si="0"/>
        <v>0</v>
      </c>
      <c r="O23" s="47">
        <f>IF(AND(J23&gt;=60,J23&lt;=69.999),(N23+1),IF(AND(J23&gt;=70,J23&lt;=79.999),(N23+2),IF(AND(J23&gt;=80,J23&lt;=89.999),(N23+3),IF(AND(J23&gt;=90,J23&lt;=99.999),(N23+4),IF(J23&gt;=100,5)))))</f>
        <v>5</v>
      </c>
      <c r="P23" s="48">
        <f t="shared" si="1"/>
        <v>0.25</v>
      </c>
      <c r="Q23" s="4"/>
    </row>
    <row r="24" spans="1:17" ht="131.25" customHeight="1">
      <c r="A24" s="49"/>
      <c r="B24" s="62" t="s">
        <v>39</v>
      </c>
      <c r="C24" s="63" t="s">
        <v>12</v>
      </c>
      <c r="D24" s="64">
        <v>5</v>
      </c>
      <c r="E24" s="64"/>
      <c r="F24" s="64"/>
      <c r="G24" s="64"/>
      <c r="H24" s="64"/>
      <c r="I24" s="64"/>
      <c r="J24" s="30"/>
      <c r="K24" s="65"/>
      <c r="L24" s="65"/>
      <c r="M24" s="66"/>
      <c r="N24" s="67"/>
      <c r="O24" s="68"/>
      <c r="P24" s="69"/>
      <c r="Q24" s="9"/>
    </row>
    <row r="25" spans="1:17" ht="141.75">
      <c r="A25" s="49"/>
      <c r="B25" s="70" t="s">
        <v>40</v>
      </c>
      <c r="C25" s="71" t="s">
        <v>12</v>
      </c>
      <c r="D25" s="72">
        <v>3</v>
      </c>
      <c r="E25" s="72">
        <v>60</v>
      </c>
      <c r="F25" s="72">
        <v>70</v>
      </c>
      <c r="G25" s="72">
        <v>80</v>
      </c>
      <c r="H25" s="72">
        <v>90</v>
      </c>
      <c r="I25" s="72">
        <v>100</v>
      </c>
      <c r="J25" s="73">
        <v>90</v>
      </c>
      <c r="K25" s="74">
        <v>10</v>
      </c>
      <c r="L25" s="74">
        <v>1</v>
      </c>
      <c r="M25" s="43">
        <f>IF(AND(J25&gt;=60,J25&lt;=69.999),(J25-60),IF(AND(J25&gt;=70,J25&lt;=79.999),(J25-70),IF(AND(J25&gt;=80,J25&lt;=89.999),(J25-80),IF(AND(J25&gt;=90,J25&lt;=99.999),(J25-90),IF(J25&gt;=100,0)))))</f>
        <v>0</v>
      </c>
      <c r="N25" s="43">
        <f t="shared" si="0"/>
        <v>0</v>
      </c>
      <c r="O25" s="44">
        <f>IF(AND(J25&gt;=60,J25&lt;=69.999),(N25+1),IF(AND(J25&gt;=70,J25&lt;=79.999),(N25+2),IF(AND(J25&gt;=80,J25&lt;=89.999),(N25+3),IF(AND(J25&gt;=90,J25&lt;=99.999),(N25+4),IF(J25&gt;=100,5)))))</f>
        <v>4</v>
      </c>
      <c r="P25" s="44">
        <f t="shared" si="1"/>
        <v>0.12</v>
      </c>
      <c r="Q25" s="75"/>
    </row>
    <row r="26" spans="1:17" ht="79.5" thickBot="1">
      <c r="A26" s="61"/>
      <c r="B26" s="34" t="s">
        <v>41</v>
      </c>
      <c r="C26" s="35" t="s">
        <v>12</v>
      </c>
      <c r="D26" s="36">
        <v>2</v>
      </c>
      <c r="E26" s="77">
        <v>50</v>
      </c>
      <c r="F26" s="77">
        <v>60</v>
      </c>
      <c r="G26" s="77">
        <v>70</v>
      </c>
      <c r="H26" s="77">
        <v>80</v>
      </c>
      <c r="I26" s="77" t="s">
        <v>50</v>
      </c>
      <c r="J26" s="78">
        <v>76.8</v>
      </c>
      <c r="K26" s="79">
        <v>10</v>
      </c>
      <c r="L26" s="79">
        <v>1</v>
      </c>
      <c r="M26" s="80">
        <f>IF(AND(J26&gt;=50,J26&lt;=59.999),(J26-50),IF(AND(J26&gt;=60,J26&lt;=69.999),(J26-60),IF(AND(J26&gt;=70,J26&lt;=79.999),(J26-70),IF(AND(J26&gt;=80,J26&lt;=89.999),(J26-80),IF(J26&gt;=90,0)))))</f>
        <v>6.799999999999997</v>
      </c>
      <c r="N26" s="81">
        <f t="shared" si="0"/>
        <v>0.6799999999999997</v>
      </c>
      <c r="O26" s="82">
        <f>IF(AND(J26&gt;=50,J26&lt;=59.999),(N26+1),IF(AND(J26&gt;=60,J26&lt;=69.999),(N26+2),IF(AND(J26&gt;=70,J26&lt;=79.999),(N26+3),IF(AND(J26&gt;=80,J26&lt;=89.999),(N26+4),IF(J26&gt;=90,5)))))</f>
        <v>3.6799999999999997</v>
      </c>
      <c r="P26" s="83">
        <f t="shared" si="1"/>
        <v>0.0736</v>
      </c>
      <c r="Q26" s="4"/>
    </row>
    <row r="27" spans="1:17" ht="19.5" thickBot="1">
      <c r="A27" s="116" t="s">
        <v>17</v>
      </c>
      <c r="B27" s="117"/>
      <c r="C27" s="118"/>
      <c r="D27" s="5">
        <v>100</v>
      </c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25">
        <f>SUM(P8,P10,P11,P12,P15,P17,P19,P20,P21,P22,P23,P25,P26)</f>
        <v>4.503471483999999</v>
      </c>
      <c r="Q27" s="11"/>
    </row>
    <row r="29" spans="2:17" ht="22.5" customHeight="1">
      <c r="B29" s="84"/>
      <c r="C29" s="115" t="s">
        <v>51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ht="18" customHeight="1">
      <c r="D30" s="85" t="s">
        <v>52</v>
      </c>
    </row>
  </sheetData>
  <sheetProtection/>
  <mergeCells count="48">
    <mergeCell ref="C29:Q29"/>
    <mergeCell ref="F17:F18"/>
    <mergeCell ref="G17:G18"/>
    <mergeCell ref="H15:H16"/>
    <mergeCell ref="A27:C27"/>
    <mergeCell ref="E27:O27"/>
    <mergeCell ref="H17:H18"/>
    <mergeCell ref="I17:I18"/>
    <mergeCell ref="C17:C18"/>
    <mergeCell ref="D17:D18"/>
    <mergeCell ref="E17:E18"/>
    <mergeCell ref="C15:C16"/>
    <mergeCell ref="D15:D16"/>
    <mergeCell ref="E15:E16"/>
    <mergeCell ref="Q17:Q18"/>
    <mergeCell ref="I15:I16"/>
    <mergeCell ref="J15:J16"/>
    <mergeCell ref="Q15:Q16"/>
    <mergeCell ref="J17:J18"/>
    <mergeCell ref="F15:F16"/>
    <mergeCell ref="G15:G16"/>
    <mergeCell ref="Q13:Q14"/>
    <mergeCell ref="C13:C14"/>
    <mergeCell ref="D13:D14"/>
    <mergeCell ref="E13:E14"/>
    <mergeCell ref="F13:F14"/>
    <mergeCell ref="G13:G14"/>
    <mergeCell ref="P13:P14"/>
    <mergeCell ref="H13:H14"/>
    <mergeCell ref="I13:I14"/>
    <mergeCell ref="D4:D7"/>
    <mergeCell ref="A1:Q1"/>
    <mergeCell ref="A2:Q2"/>
    <mergeCell ref="A4:A7"/>
    <mergeCell ref="B4:B7"/>
    <mergeCell ref="C4:C7"/>
    <mergeCell ref="Q4:Q7"/>
    <mergeCell ref="E5:E7"/>
    <mergeCell ref="F5:F7"/>
    <mergeCell ref="G5:G7"/>
    <mergeCell ref="J13:J14"/>
    <mergeCell ref="O13:O14"/>
    <mergeCell ref="I5:I7"/>
    <mergeCell ref="J5:J7"/>
    <mergeCell ref="P5:P7"/>
    <mergeCell ref="J4:P4"/>
    <mergeCell ref="E4:I4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Apinan</cp:lastModifiedBy>
  <cp:lastPrinted>2015-08-16T15:23:14Z</cp:lastPrinted>
  <dcterms:created xsi:type="dcterms:W3CDTF">2014-08-23T04:43:08Z</dcterms:created>
  <dcterms:modified xsi:type="dcterms:W3CDTF">2022-08-11T04:58:02Z</dcterms:modified>
  <cp:category/>
  <cp:version/>
  <cp:contentType/>
  <cp:contentStatus/>
</cp:coreProperties>
</file>